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80" yWindow="65521" windowWidth="16560" windowHeight="9585" activeTab="0"/>
  </bookViews>
  <sheets>
    <sheet name="Contents" sheetId="1" r:id="rId1"/>
    <sheet name="Figure 5" sheetId="2" r:id="rId2"/>
    <sheet name="Figures 6 &amp; 7" sheetId="3" r:id="rId3"/>
    <sheet name="Figure 8" sheetId="4" r:id="rId4"/>
  </sheets>
  <definedNames/>
  <calcPr fullCalcOnLoad="1"/>
</workbook>
</file>

<file path=xl/sharedStrings.xml><?xml version="1.0" encoding="utf-8"?>
<sst xmlns="http://schemas.openxmlformats.org/spreadsheetml/2006/main" count="105" uniqueCount="70">
  <si>
    <t>Sheet "</t>
  </si>
  <si>
    <t>World cm</t>
  </si>
  <si>
    <t>"/cm</t>
  </si>
  <si>
    <t>cm/"</t>
  </si>
  <si>
    <t>Distance</t>
  </si>
  <si>
    <t>Angular width at distance</t>
  </si>
  <si>
    <t>Figure 6 Binasal</t>
  </si>
  <si>
    <t>6.3cm IPD</t>
  </si>
  <si>
    <t>Factors to expand and contract to fix pattern size</t>
  </si>
  <si>
    <t>Anterior volume scotoma at its widest</t>
  </si>
  <si>
    <t>Height of anterior volume scotoma</t>
  </si>
  <si>
    <t>Grid diameter</t>
  </si>
  <si>
    <t>Figure 7 CFL</t>
  </si>
  <si>
    <t>Angular average posterior scotoma projected width</t>
  </si>
  <si>
    <t>Angular average posterior actual scotoma  width</t>
  </si>
  <si>
    <t>Angular largest posterior actual scotoma  width</t>
  </si>
  <si>
    <t>Figure 5 bitemporal (a)</t>
  </si>
  <si>
    <t>Figure 5 bitemporal (b)</t>
  </si>
  <si>
    <t>Figure 5 calculation of road lane scotoma</t>
  </si>
  <si>
    <t>Posterior scotoma width measured at 200 cm (a side ")</t>
  </si>
  <si>
    <t>Posterior divergence angle</t>
  </si>
  <si>
    <t>Distance to posterior angle vertex from eyes</t>
  </si>
  <si>
    <t>Distance to road width (m)</t>
  </si>
  <si>
    <t>(a) side scaling</t>
  </si>
  <si>
    <t>framework angular width at distance</t>
  </si>
  <si>
    <t>Standard Framework scaling</t>
  </si>
  <si>
    <t>Widest central gap at fixation</t>
  </si>
  <si>
    <t>Average central gap at fixation</t>
  </si>
  <si>
    <t>Narrowest central gap at fixation</t>
  </si>
  <si>
    <t>ANTERIOR SCOTOMA</t>
  </si>
  <si>
    <t>Distance to vertex of posterior gap angle</t>
  </si>
  <si>
    <t>Predicted maximum overlap at 50cm</t>
  </si>
  <si>
    <t xml:space="preserve">Average posterior gap angle (based on average  gap at fixation) </t>
  </si>
  <si>
    <t>Predicted average overlap at 50cm</t>
  </si>
  <si>
    <t>Average anterior volume scotoma</t>
  </si>
  <si>
    <t>(b) side scaling</t>
  </si>
  <si>
    <t>Anterior scotoma width</t>
  </si>
  <si>
    <t>FIGURE 8 GRAPH and TEXT</t>
  </si>
  <si>
    <t xml:space="preserve">Max scotoma width at fixation </t>
  </si>
  <si>
    <t xml:space="preserve">Max scotoma width at 50 cm </t>
  </si>
  <si>
    <t>Convergence angle</t>
  </si>
  <si>
    <t>Scotoma</t>
  </si>
  <si>
    <t>Distance to anterior scotoma vertex</t>
  </si>
  <si>
    <t>Scotoma width  at 50 cm</t>
  </si>
  <si>
    <t>Anterior scotoma width from (b)</t>
  </si>
  <si>
    <t>IPD (cm)</t>
  </si>
  <si>
    <r>
      <t>Scotoma size (</t>
    </r>
    <r>
      <rPr>
        <sz val="11"/>
        <color indexed="8"/>
        <rFont val="Calibri"/>
        <family val="2"/>
      </rPr>
      <t>°</t>
    </r>
    <r>
      <rPr>
        <sz val="11"/>
        <color theme="1"/>
        <rFont val="Calibri"/>
        <family val="2"/>
      </rPr>
      <t xml:space="preserve">) </t>
    </r>
  </si>
  <si>
    <t>Convergence angle (°)</t>
  </si>
  <si>
    <t xml:space="preserve">Fixation distance (cm) </t>
  </si>
  <si>
    <t>Apparent scotoma angle at 50 cm</t>
  </si>
  <si>
    <t>FRAMEWORK (used for Fig 6 &amp; 7)</t>
  </si>
  <si>
    <t xml:space="preserve">This workbook is provided to you to share data reported in: </t>
  </si>
  <si>
    <t>Calculations for Figures 5, 6, 7, and 8 in corresponding worksheets.</t>
  </si>
  <si>
    <r>
      <rPr>
        <b/>
        <sz val="12"/>
        <color indexed="8"/>
        <rFont val="Calibri"/>
        <family val="2"/>
      </rPr>
      <t>Figure 8</t>
    </r>
    <r>
      <rPr>
        <sz val="12"/>
        <color indexed="8"/>
        <rFont val="Calibri"/>
        <family val="2"/>
      </rPr>
      <t xml:space="preserve">: Relationship between scotoma size and the fixation distances beyond which the posterior volume scotoma extends to infinity. The graph assumes equal diameter OS and OD CFL scotomas centered above the PRL.  An IPD of 6.6 cm was used, but the curve varies little with IPD. Points lying on the curve yield the "tunnel" scotoma for Fig 3b. </t>
    </r>
  </si>
  <si>
    <t>For all figures input values are highlighted in yellow.</t>
  </si>
  <si>
    <r>
      <rPr>
        <b/>
        <sz val="12"/>
        <color indexed="8"/>
        <rFont val="Calibri"/>
        <family val="2"/>
      </rPr>
      <t>Volume Perimetry: Measurement in Depth of Visual Field Loss</t>
    </r>
    <r>
      <rPr>
        <sz val="12"/>
        <color indexed="8"/>
        <rFont val="Calibri"/>
        <family val="2"/>
      </rPr>
      <t xml:space="preserve">
PremNandhini Satgunam PhD, Henry L Apfelbaum BA, Eli Peli MSc OD FAAO</t>
    </r>
  </si>
  <si>
    <r>
      <t xml:space="preserve">For Figures 5-7, </t>
    </r>
    <r>
      <rPr>
        <b/>
        <sz val="12"/>
        <color indexed="8"/>
        <rFont val="Calibri"/>
        <family val="2"/>
      </rPr>
      <t>Sheet"</t>
    </r>
    <r>
      <rPr>
        <sz val="12"/>
        <color indexed="8"/>
        <rFont val="Calibri"/>
        <family val="2"/>
      </rPr>
      <t xml:space="preserve">  refers to diagram units and </t>
    </r>
    <r>
      <rPr>
        <b/>
        <sz val="12"/>
        <color indexed="8"/>
        <rFont val="Calibri"/>
        <family val="2"/>
      </rPr>
      <t xml:space="preserve">World cm </t>
    </r>
    <r>
      <rPr>
        <sz val="12"/>
        <color indexed="8"/>
        <rFont val="Calibri"/>
        <family val="2"/>
      </rPr>
      <t>refers to actual real world distances.</t>
    </r>
  </si>
  <si>
    <t>Optometry and Vision Science  (Feature Issue)
Submitted January 10, 2012</t>
  </si>
  <si>
    <r>
      <rPr>
        <b/>
        <sz val="10"/>
        <color indexed="8"/>
        <rFont val="Arial"/>
        <family val="2"/>
      </rPr>
      <t>Figure 6</t>
    </r>
    <r>
      <rPr>
        <sz val="10"/>
        <color indexed="8"/>
        <rFont val="Arial"/>
        <family val="2"/>
      </rPr>
      <t xml:space="preserve">: (a) expected/calculated and (b) measured slices through the volume visual fields for </t>
    </r>
    <r>
      <rPr>
        <b/>
        <sz val="10"/>
        <color indexed="8"/>
        <rFont val="Arial"/>
        <family val="2"/>
      </rPr>
      <t>Patient 2 (partial binasal scotomas)</t>
    </r>
    <r>
      <rPr>
        <sz val="10"/>
        <color indexed="8"/>
        <rFont val="Arial"/>
        <family val="2"/>
      </rPr>
      <t>. Inset (a1) details the predicted anterior volume scotoma. Inset (a2) shows how the area within the OS physiological blindspot is no longer completely overlapping the OD scotoma and is thus seen by OD. There is no measured central binocular scotoma seen in the posterior pane in (b). The physiological blindspots shown faded in (b) based on projections in (a) would remain but were not mapped.</t>
    </r>
  </si>
  <si>
    <r>
      <rPr>
        <b/>
        <sz val="10"/>
        <color indexed="8"/>
        <rFont val="Arial"/>
        <family val="2"/>
      </rPr>
      <t>Figure 7</t>
    </r>
    <r>
      <rPr>
        <sz val="10"/>
        <color indexed="8"/>
        <rFont val="Arial"/>
        <family val="2"/>
      </rPr>
      <t xml:space="preserve">: (a) Expected and (b) measured slices through the volume visual fields for </t>
    </r>
    <r>
      <rPr>
        <b/>
        <sz val="10"/>
        <color indexed="8"/>
        <rFont val="Arial"/>
        <family val="2"/>
      </rPr>
      <t>Patient 3 (central field loss)</t>
    </r>
    <r>
      <rPr>
        <sz val="10"/>
        <color indexed="8"/>
        <rFont val="Arial"/>
        <family val="2"/>
      </rPr>
      <t xml:space="preserve">. In the projection at 200cm with 50cm fixation (a, left), the OD scotoma and OS ONH have shifted enough to overlap and form another binocular volume scotoma. Since that occurs outside the diagram frame, it is shown in the inset (a1). </t>
    </r>
  </si>
  <si>
    <r>
      <rPr>
        <b/>
        <sz val="12"/>
        <color indexed="8"/>
        <rFont val="Calibri"/>
        <family val="2"/>
      </rPr>
      <t>Figure 5:</t>
    </r>
    <r>
      <rPr>
        <sz val="12"/>
        <color indexed="8"/>
        <rFont val="Calibri"/>
        <family val="2"/>
      </rPr>
      <t xml:space="preserve"> (a) Expected/calculated and (b) actually measured slices through the volume visual fields (at distances of 50, 100, and 200cm) for </t>
    </r>
    <r>
      <rPr>
        <b/>
        <sz val="12"/>
        <color indexed="8"/>
        <rFont val="Calibri"/>
        <family val="2"/>
      </rPr>
      <t>Patient 1 (bitemporal hemianopia)</t>
    </r>
    <r>
      <rPr>
        <sz val="12"/>
        <color indexed="8"/>
        <rFont val="Calibri"/>
        <family val="2"/>
      </rPr>
      <t>. Two different fixation distances were used to map the anterior (left) and posterior (right) volume scotomas, respectively, as shown in (a). The visual fields that were not measured at the given fixation distances are shown in lower contrast in (a). The circular boundaries in (a) represent the liquid crystal shutter goggles’ restriction of the dichoptic perimeter.</t>
    </r>
  </si>
  <si>
    <t xml:space="preserve">Average field overlap at 100cm fixation </t>
  </si>
  <si>
    <t xml:space="preserve">Assumed field overlap at 50cm fixation </t>
  </si>
  <si>
    <t xml:space="preserve">Widest posterior gap angle (based on narrowest gap at fixation) </t>
  </si>
  <si>
    <t>Conversion</t>
  </si>
  <si>
    <t>Degrees</t>
  </si>
  <si>
    <t>6.6cm IPD</t>
  </si>
  <si>
    <t>at 100cm</t>
  </si>
  <si>
    <t xml:space="preserve">If  Px 3 met Case II criteria with equal 13 degree central scotomas </t>
  </si>
  <si>
    <t>Angular largest posterior projected scotoma  width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</si>
</sst>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0.0"/>
    <numFmt numFmtId="167" formatCode="0.000"/>
  </numFmts>
  <fonts count="45">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Arial"/>
      <family val="2"/>
    </font>
    <font>
      <b/>
      <sz val="10"/>
      <color indexed="8"/>
      <name val="Arial"/>
      <family val="2"/>
    </font>
    <font>
      <b/>
      <sz val="11"/>
      <color indexed="8"/>
      <name val="Calibri"/>
      <family val="2"/>
    </font>
    <font>
      <b/>
      <sz val="14"/>
      <color indexed="8"/>
      <name val="Calibri"/>
      <family val="2"/>
    </font>
    <font>
      <b/>
      <u val="single"/>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Calibri"/>
      <family val="2"/>
    </font>
    <font>
      <b/>
      <sz val="12"/>
      <color theme="1"/>
      <name val="Calibri"/>
      <family val="2"/>
    </font>
    <font>
      <sz val="10"/>
      <color theme="1"/>
      <name val="Arial"/>
      <family val="2"/>
    </font>
    <font>
      <b/>
      <u val="single"/>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0">
    <xf numFmtId="0" fontId="0" fillId="0" borderId="0" xfId="0" applyFont="1" applyAlignment="1">
      <alignment/>
    </xf>
    <xf numFmtId="0" fontId="38" fillId="0" borderId="0" xfId="0" applyFont="1" applyAlignment="1">
      <alignment horizontal="center"/>
    </xf>
    <xf numFmtId="0" fontId="38" fillId="0" borderId="0" xfId="0" applyFont="1" applyAlignment="1">
      <alignment horizontal="right"/>
    </xf>
    <xf numFmtId="0" fontId="38" fillId="0" borderId="0" xfId="0" applyFont="1" applyAlignment="1">
      <alignment horizontal="center"/>
    </xf>
    <xf numFmtId="0" fontId="0" fillId="0" borderId="0" xfId="0" applyAlignment="1">
      <alignment horizontal="center"/>
    </xf>
    <xf numFmtId="164" fontId="38" fillId="0" borderId="0" xfId="0" applyNumberFormat="1" applyFont="1" applyAlignment="1">
      <alignment horizontal="center"/>
    </xf>
    <xf numFmtId="164" fontId="0" fillId="0" borderId="0" xfId="0" applyNumberFormat="1" applyAlignment="1">
      <alignment horizontal="center"/>
    </xf>
    <xf numFmtId="165" fontId="0" fillId="0" borderId="0" xfId="57" applyNumberFormat="1" applyFont="1" applyAlignment="1">
      <alignment horizontal="center"/>
    </xf>
    <xf numFmtId="166" fontId="0" fillId="0" borderId="0" xfId="0" applyNumberFormat="1" applyAlignment="1">
      <alignment horizontal="center"/>
    </xf>
    <xf numFmtId="2" fontId="0" fillId="0" borderId="0" xfId="0" applyNumberFormat="1" applyAlignment="1">
      <alignment horizontal="center"/>
    </xf>
    <xf numFmtId="0" fontId="38" fillId="0" borderId="0" xfId="0" applyFont="1" applyAlignment="1">
      <alignment horizontal="right" wrapText="1"/>
    </xf>
    <xf numFmtId="164" fontId="0" fillId="0" borderId="0" xfId="0" applyNumberFormat="1" applyFill="1" applyAlignment="1">
      <alignment horizontal="center"/>
    </xf>
    <xf numFmtId="0" fontId="0" fillId="0" borderId="0" xfId="0" applyFill="1" applyAlignment="1">
      <alignment horizontal="center"/>
    </xf>
    <xf numFmtId="0" fontId="0" fillId="0" borderId="0" xfId="0" applyAlignment="1">
      <alignment horizontal="right"/>
    </xf>
    <xf numFmtId="0" fontId="40" fillId="0" borderId="0" xfId="0" applyFont="1" applyAlignment="1">
      <alignment horizontal="center"/>
    </xf>
    <xf numFmtId="0" fontId="0" fillId="0" borderId="0" xfId="0" applyAlignment="1">
      <alignment vertical="center"/>
    </xf>
    <xf numFmtId="0" fontId="40" fillId="0" borderId="0" xfId="0" applyFont="1" applyFill="1" applyAlignment="1">
      <alignment horizontal="center"/>
    </xf>
    <xf numFmtId="164" fontId="38" fillId="0" borderId="0" xfId="0" applyNumberFormat="1" applyFont="1" applyFill="1" applyAlignment="1">
      <alignment horizontal="center"/>
    </xf>
    <xf numFmtId="0" fontId="38" fillId="0" borderId="0" xfId="0" applyFont="1" applyFill="1" applyAlignment="1">
      <alignment horizontal="center"/>
    </xf>
    <xf numFmtId="0" fontId="38" fillId="0" borderId="0" xfId="0" applyFont="1" applyFill="1" applyAlignment="1">
      <alignment horizontal="center"/>
    </xf>
    <xf numFmtId="0" fontId="0" fillId="0" borderId="0" xfId="0" applyFill="1" applyAlignment="1">
      <alignment/>
    </xf>
    <xf numFmtId="0" fontId="38" fillId="0" borderId="0" xfId="0" applyFont="1" applyFill="1" applyAlignment="1">
      <alignment horizontal="right"/>
    </xf>
    <xf numFmtId="166" fontId="0" fillId="0" borderId="0" xfId="0" applyNumberFormat="1" applyFill="1" applyAlignment="1">
      <alignment horizontal="center"/>
    </xf>
    <xf numFmtId="0" fontId="38" fillId="0" borderId="0" xfId="0" applyFont="1" applyFill="1" applyAlignment="1">
      <alignment/>
    </xf>
    <xf numFmtId="0" fontId="38" fillId="0" borderId="0" xfId="0" applyFont="1" applyFill="1" applyAlignment="1">
      <alignment horizontal="right" wrapText="1"/>
    </xf>
    <xf numFmtId="0" fontId="0" fillId="0" borderId="0" xfId="0" applyFill="1" applyAlignment="1">
      <alignment horizontal="right"/>
    </xf>
    <xf numFmtId="0" fontId="41" fillId="0" borderId="0" xfId="0" applyFont="1" applyAlignment="1">
      <alignment/>
    </xf>
    <xf numFmtId="0" fontId="42" fillId="0" borderId="0" xfId="0" applyFont="1" applyAlignment="1">
      <alignment horizontal="center"/>
    </xf>
    <xf numFmtId="0" fontId="43" fillId="0" borderId="0" xfId="0" applyFont="1" applyAlignment="1">
      <alignment horizontal="center" vertical="center" wrapText="1"/>
    </xf>
    <xf numFmtId="0" fontId="38" fillId="0" borderId="0" xfId="0" applyFont="1" applyAlignment="1">
      <alignment horizontal="right" vertical="center"/>
    </xf>
    <xf numFmtId="0" fontId="42" fillId="0" borderId="0" xfId="0" applyFont="1" applyAlignment="1">
      <alignment vertical="center"/>
    </xf>
    <xf numFmtId="0" fontId="41" fillId="0" borderId="0" xfId="0" applyFont="1" applyAlignment="1">
      <alignment vertical="center" wrapText="1"/>
    </xf>
    <xf numFmtId="0" fontId="41" fillId="0" borderId="0" xfId="0" applyFont="1" applyAlignment="1">
      <alignment vertical="center"/>
    </xf>
    <xf numFmtId="0" fontId="40" fillId="0" borderId="0" xfId="0" applyFont="1" applyAlignment="1">
      <alignment horizontal="center" vertical="center"/>
    </xf>
    <xf numFmtId="164" fontId="42" fillId="0" borderId="0" xfId="0" applyNumberFormat="1"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center" vertical="center"/>
    </xf>
    <xf numFmtId="0" fontId="44" fillId="0" borderId="0" xfId="0" applyFont="1" applyAlignment="1">
      <alignment horizontal="right" vertical="center"/>
    </xf>
    <xf numFmtId="0" fontId="0" fillId="33" borderId="0" xfId="0" applyFill="1" applyAlignment="1">
      <alignment horizontal="center"/>
    </xf>
    <xf numFmtId="167" fontId="0" fillId="0" borderId="0" xfId="0" applyNumberFormat="1" applyAlignment="1">
      <alignment horizontal="center"/>
    </xf>
    <xf numFmtId="2" fontId="0" fillId="33" borderId="0" xfId="0" applyNumberFormat="1" applyFill="1" applyAlignment="1">
      <alignment horizontal="center"/>
    </xf>
    <xf numFmtId="2" fontId="42" fillId="0" borderId="0" xfId="0" applyNumberFormat="1" applyFont="1" applyAlignment="1">
      <alignment horizontal="center" vertical="center"/>
    </xf>
    <xf numFmtId="2" fontId="0" fillId="0" borderId="0" xfId="0" applyNumberFormat="1" applyFill="1" applyAlignment="1">
      <alignment horizontal="center"/>
    </xf>
    <xf numFmtId="0" fontId="0" fillId="34" borderId="0" xfId="0" applyFill="1" applyBorder="1" applyAlignment="1">
      <alignment horizontal="center"/>
    </xf>
    <xf numFmtId="2" fontId="0" fillId="0" borderId="0" xfId="0" applyNumberFormat="1" applyFill="1" applyBorder="1" applyAlignment="1">
      <alignment horizontal="center"/>
    </xf>
    <xf numFmtId="0" fontId="0" fillId="0" borderId="0" xfId="0" applyBorder="1" applyAlignment="1">
      <alignment horizontal="center"/>
    </xf>
    <xf numFmtId="0" fontId="43" fillId="0" borderId="0" xfId="0" applyFont="1" applyFill="1" applyBorder="1" applyAlignment="1">
      <alignment horizontal="left" vertical="center" wrapText="1"/>
    </xf>
    <xf numFmtId="1" fontId="0" fillId="0" borderId="0" xfId="0" applyNumberFormat="1" applyAlignment="1">
      <alignment horizontal="center"/>
    </xf>
    <xf numFmtId="10" fontId="0" fillId="0" borderId="0" xfId="57" applyNumberFormat="1" applyFont="1" applyAlignment="1">
      <alignment horizontal="center"/>
    </xf>
    <xf numFmtId="1" fontId="0" fillId="33" borderId="0" xfId="0" applyNumberFormat="1" applyFill="1" applyAlignment="1">
      <alignment horizontal="center"/>
    </xf>
    <xf numFmtId="2" fontId="0" fillId="0" borderId="0" xfId="0" applyNumberFormat="1" applyFill="1" applyAlignment="1">
      <alignment horizontal="center" vertical="center"/>
    </xf>
    <xf numFmtId="166" fontId="0" fillId="33" borderId="0" xfId="0" applyNumberFormat="1" applyFill="1" applyAlignment="1">
      <alignment horizontal="center"/>
    </xf>
    <xf numFmtId="0" fontId="2" fillId="8" borderId="10" xfId="0" applyFont="1" applyFill="1" applyBorder="1" applyAlignment="1">
      <alignment horizontal="left" vertical="center" wrapText="1"/>
    </xf>
    <xf numFmtId="0" fontId="41" fillId="8" borderId="11" xfId="0" applyFont="1" applyFill="1" applyBorder="1" applyAlignment="1">
      <alignment horizontal="left" vertical="center" wrapText="1"/>
    </xf>
    <xf numFmtId="0" fontId="41" fillId="8" borderId="12" xfId="0" applyFont="1" applyFill="1" applyBorder="1" applyAlignment="1">
      <alignment horizontal="left" vertical="center" wrapText="1"/>
    </xf>
    <xf numFmtId="0" fontId="41" fillId="8" borderId="13" xfId="0" applyFont="1" applyFill="1" applyBorder="1" applyAlignment="1">
      <alignment horizontal="left" vertical="center" wrapText="1"/>
    </xf>
    <xf numFmtId="0" fontId="41" fillId="8" borderId="0" xfId="0" applyFont="1" applyFill="1" applyBorder="1" applyAlignment="1">
      <alignment horizontal="left" vertical="center" wrapText="1"/>
    </xf>
    <xf numFmtId="0" fontId="41" fillId="8" borderId="14" xfId="0" applyFont="1" applyFill="1" applyBorder="1" applyAlignment="1">
      <alignment horizontal="left" vertical="center" wrapText="1"/>
    </xf>
    <xf numFmtId="0" fontId="41" fillId="8" borderId="15" xfId="0" applyFont="1" applyFill="1" applyBorder="1" applyAlignment="1">
      <alignment horizontal="left" vertical="center" wrapText="1"/>
    </xf>
    <xf numFmtId="0" fontId="41" fillId="8" borderId="16" xfId="0" applyFont="1" applyFill="1" applyBorder="1" applyAlignment="1">
      <alignment horizontal="left" vertical="center" wrapText="1"/>
    </xf>
    <xf numFmtId="0" fontId="41" fillId="8" borderId="17" xfId="0" applyFont="1" applyFill="1" applyBorder="1" applyAlignment="1">
      <alignment horizontal="left" vertical="center" wrapText="1"/>
    </xf>
    <xf numFmtId="0" fontId="42" fillId="0" borderId="0" xfId="0" applyFont="1" applyAlignment="1">
      <alignment horizontal="center"/>
    </xf>
    <xf numFmtId="0" fontId="43" fillId="8" borderId="18" xfId="0" applyFont="1" applyFill="1" applyBorder="1" applyAlignment="1">
      <alignment horizontal="left" vertical="center" wrapText="1"/>
    </xf>
    <xf numFmtId="0" fontId="43" fillId="8" borderId="19" xfId="0" applyFont="1" applyFill="1" applyBorder="1" applyAlignment="1">
      <alignment horizontal="left" vertical="center" wrapText="1"/>
    </xf>
    <xf numFmtId="0" fontId="43" fillId="8" borderId="20"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11" xfId="0" applyFont="1" applyFill="1" applyBorder="1" applyAlignment="1">
      <alignment horizontal="left" vertical="center" wrapText="1"/>
    </xf>
    <xf numFmtId="0" fontId="43" fillId="8" borderId="12" xfId="0" applyFont="1" applyFill="1" applyBorder="1" applyAlignment="1">
      <alignment horizontal="left" vertical="center" wrapText="1"/>
    </xf>
    <xf numFmtId="0" fontId="43" fillId="8" borderId="13" xfId="0" applyFont="1" applyFill="1" applyBorder="1" applyAlignment="1">
      <alignment horizontal="left" vertical="center" wrapText="1"/>
    </xf>
    <xf numFmtId="0" fontId="43" fillId="8" borderId="0" xfId="0" applyFont="1" applyFill="1" applyBorder="1" applyAlignment="1">
      <alignment horizontal="left" vertical="center" wrapText="1"/>
    </xf>
    <xf numFmtId="0" fontId="43" fillId="8" borderId="14" xfId="0" applyFont="1" applyFill="1" applyBorder="1" applyAlignment="1">
      <alignment horizontal="left" vertical="center" wrapText="1"/>
    </xf>
    <xf numFmtId="0" fontId="43" fillId="8" borderId="15" xfId="0" applyFont="1" applyFill="1" applyBorder="1" applyAlignment="1">
      <alignment horizontal="left" vertical="center" wrapText="1"/>
    </xf>
    <xf numFmtId="0" fontId="43" fillId="8" borderId="16" xfId="0" applyFont="1" applyFill="1" applyBorder="1" applyAlignment="1">
      <alignment horizontal="left" vertical="center" wrapText="1"/>
    </xf>
    <xf numFmtId="0" fontId="43" fillId="8" borderId="17" xfId="0" applyFont="1" applyFill="1" applyBorder="1" applyAlignment="1">
      <alignment horizontal="left" vertical="center" wrapText="1"/>
    </xf>
    <xf numFmtId="0" fontId="38" fillId="0" borderId="0" xfId="0" applyFont="1" applyFill="1" applyBorder="1" applyAlignment="1">
      <alignment horizontal="center" vertical="center" wrapText="1"/>
    </xf>
    <xf numFmtId="0" fontId="38" fillId="0" borderId="0" xfId="0" applyFont="1" applyAlignment="1">
      <alignment horizontal="center"/>
    </xf>
    <xf numFmtId="0" fontId="41" fillId="8" borderId="18" xfId="0" applyFont="1" applyFill="1" applyBorder="1" applyAlignment="1">
      <alignment horizontal="left" vertical="center" wrapText="1"/>
    </xf>
    <xf numFmtId="0" fontId="41" fillId="8" borderId="19" xfId="0" applyFont="1" applyFill="1" applyBorder="1" applyAlignment="1">
      <alignment horizontal="left" vertical="center" wrapText="1"/>
    </xf>
    <xf numFmtId="0" fontId="41" fillId="8" borderId="20" xfId="0" applyFont="1" applyFill="1" applyBorder="1" applyAlignment="1">
      <alignment horizontal="left" vertical="center" wrapText="1"/>
    </xf>
    <xf numFmtId="166" fontId="38" fillId="0" borderId="0" xfId="0" applyNumberFormat="1"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A19" sqref="A19"/>
    </sheetView>
  </sheetViews>
  <sheetFormatPr defaultColWidth="9.140625" defaultRowHeight="15"/>
  <cols>
    <col min="1" max="1" width="75.421875" style="0" customWidth="1"/>
  </cols>
  <sheetData>
    <row r="1" ht="15.75">
      <c r="A1" s="30" t="s">
        <v>51</v>
      </c>
    </row>
    <row r="2" ht="60.75" customHeight="1">
      <c r="A2" s="31" t="s">
        <v>55</v>
      </c>
    </row>
    <row r="3" ht="31.5" customHeight="1">
      <c r="A3" s="31" t="s">
        <v>57</v>
      </c>
    </row>
    <row r="4" ht="15.75">
      <c r="A4" s="32"/>
    </row>
    <row r="5" ht="24.75" customHeight="1">
      <c r="A5" s="32" t="s">
        <v>52</v>
      </c>
    </row>
    <row r="6" ht="34.5" customHeight="1">
      <c r="A6" s="31" t="s">
        <v>56</v>
      </c>
    </row>
    <row r="7" ht="22.5" customHeight="1">
      <c r="A7" s="32" t="s">
        <v>54</v>
      </c>
    </row>
    <row r="8" ht="15.75">
      <c r="A8" s="32"/>
    </row>
    <row r="9" ht="15.75">
      <c r="A9" s="2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85"/>
  <sheetViews>
    <sheetView zoomScale="90" zoomScaleNormal="90" zoomScalePageLayoutView="0" workbookViewId="0" topLeftCell="A1">
      <selection activeCell="A18" sqref="A18"/>
    </sheetView>
  </sheetViews>
  <sheetFormatPr defaultColWidth="9.140625" defaultRowHeight="15"/>
  <cols>
    <col min="1" max="1" width="65.00390625" style="0" customWidth="1"/>
    <col min="2" max="2" width="10.7109375" style="6" customWidth="1"/>
    <col min="3" max="3" width="12.140625" style="4" customWidth="1"/>
    <col min="4" max="4" width="9.140625" style="4" customWidth="1"/>
    <col min="5" max="5" width="10.140625" style="4" bestFit="1" customWidth="1"/>
    <col min="6" max="6" width="9.140625" style="4" customWidth="1"/>
  </cols>
  <sheetData>
    <row r="1" spans="1:7" s="26" customFormat="1" ht="19.5" customHeight="1">
      <c r="A1" s="52" t="s">
        <v>60</v>
      </c>
      <c r="B1" s="53"/>
      <c r="C1" s="53"/>
      <c r="D1" s="53"/>
      <c r="E1" s="53"/>
      <c r="F1" s="53"/>
      <c r="G1" s="54"/>
    </row>
    <row r="2" spans="1:7" s="27" customFormat="1" ht="19.5" customHeight="1">
      <c r="A2" s="55"/>
      <c r="B2" s="56"/>
      <c r="C2" s="56"/>
      <c r="D2" s="56"/>
      <c r="E2" s="56"/>
      <c r="F2" s="56"/>
      <c r="G2" s="57"/>
    </row>
    <row r="3" spans="1:7" s="26" customFormat="1" ht="19.5" customHeight="1">
      <c r="A3" s="55"/>
      <c r="B3" s="56"/>
      <c r="C3" s="56"/>
      <c r="D3" s="56"/>
      <c r="E3" s="56"/>
      <c r="F3" s="56"/>
      <c r="G3" s="57"/>
    </row>
    <row r="4" spans="1:7" s="26" customFormat="1" ht="19.5" customHeight="1" thickBot="1">
      <c r="A4" s="58"/>
      <c r="B4" s="59"/>
      <c r="C4" s="59"/>
      <c r="D4" s="59"/>
      <c r="E4" s="59"/>
      <c r="F4" s="59"/>
      <c r="G4" s="60"/>
    </row>
    <row r="5" ht="15">
      <c r="A5" s="2"/>
    </row>
    <row r="6" spans="1:5" ht="15.75">
      <c r="A6" s="2"/>
      <c r="D6" s="61" t="s">
        <v>64</v>
      </c>
      <c r="E6" s="61"/>
    </row>
    <row r="7" spans="1:6" s="15" customFormat="1" ht="18.75">
      <c r="A7" s="33" t="s">
        <v>16</v>
      </c>
      <c r="B7" s="34" t="s">
        <v>0</v>
      </c>
      <c r="C7" s="35" t="s">
        <v>1</v>
      </c>
      <c r="D7" s="35" t="s">
        <v>2</v>
      </c>
      <c r="E7" s="35" t="s">
        <v>3</v>
      </c>
      <c r="F7" s="36" t="s">
        <v>65</v>
      </c>
    </row>
    <row r="8" spans="1:5" ht="15">
      <c r="A8" s="2" t="s">
        <v>4</v>
      </c>
      <c r="B8" s="40">
        <v>2.8381</v>
      </c>
      <c r="C8" s="38">
        <v>200</v>
      </c>
      <c r="D8" s="9">
        <f>B8/C8</f>
        <v>0.0141905</v>
      </c>
      <c r="E8" s="9">
        <f>C8/B8</f>
        <v>70.46968041999929</v>
      </c>
    </row>
    <row r="9" spans="1:6" ht="15">
      <c r="A9" s="29" t="s">
        <v>5</v>
      </c>
      <c r="B9" s="9">
        <f>D8*2*C9*TAN(RADIANS(F9/2))</f>
        <v>1.0329839218709087</v>
      </c>
      <c r="C9" s="38">
        <v>100</v>
      </c>
      <c r="F9" s="38">
        <v>40</v>
      </c>
    </row>
    <row r="10" spans="1:6" ht="15">
      <c r="A10" s="2" t="s">
        <v>11</v>
      </c>
      <c r="B10" s="40">
        <v>1.0056</v>
      </c>
      <c r="C10" s="38">
        <v>100</v>
      </c>
      <c r="F10" s="47">
        <f>DEGREES(2*ATAN(B10*E$8/(2*C10)))</f>
        <v>39.02066676809335</v>
      </c>
    </row>
    <row r="11" spans="1:6" ht="15">
      <c r="A11" s="21" t="s">
        <v>13</v>
      </c>
      <c r="B11" s="40">
        <f>9.6303-9.4826</f>
        <v>0.1477000000000004</v>
      </c>
      <c r="C11" s="38">
        <v>200</v>
      </c>
      <c r="F11" s="8">
        <f>DEGREES(2*ATAN(B11*E$8/(2*C11)))</f>
        <v>2.981106175085571</v>
      </c>
    </row>
    <row r="12" spans="1:6" ht="15">
      <c r="A12" s="2" t="s">
        <v>69</v>
      </c>
      <c r="B12" s="40">
        <f>9.6569-9.4956</f>
        <v>0.16130000000000067</v>
      </c>
      <c r="C12" s="38">
        <v>200</v>
      </c>
      <c r="F12" s="8">
        <f>DEGREES(2*ATAN(B12*E$8/(2*C12)))</f>
        <v>3.255460621919611</v>
      </c>
    </row>
    <row r="13" spans="1:6" ht="15">
      <c r="A13" s="2"/>
      <c r="B13" s="40"/>
      <c r="C13" s="38"/>
      <c r="F13" s="8"/>
    </row>
    <row r="14" spans="1:6" s="15" customFormat="1" ht="18.75">
      <c r="A14" s="33" t="s">
        <v>17</v>
      </c>
      <c r="B14" s="41" t="s">
        <v>0</v>
      </c>
      <c r="C14" s="35" t="s">
        <v>1</v>
      </c>
      <c r="D14" s="35" t="s">
        <v>2</v>
      </c>
      <c r="E14" s="35" t="s">
        <v>3</v>
      </c>
      <c r="F14" s="36" t="s">
        <v>65</v>
      </c>
    </row>
    <row r="15" spans="1:6" ht="15">
      <c r="A15" s="2" t="s">
        <v>4</v>
      </c>
      <c r="B15" s="40">
        <v>1.8357</v>
      </c>
      <c r="C15" s="38">
        <v>200</v>
      </c>
      <c r="D15" s="9">
        <f>B15/(2*C15*TAN(RADIANS(F15/2)))</f>
        <v>0.01712731416863547</v>
      </c>
      <c r="E15" s="9">
        <f>1/D15</f>
        <v>58.386270617447884</v>
      </c>
      <c r="F15" s="38">
        <v>30</v>
      </c>
    </row>
    <row r="16" spans="1:6" ht="15">
      <c r="A16" s="29" t="s">
        <v>5</v>
      </c>
      <c r="B16" s="9">
        <f>D15*2*C16*TAN(RADIANS(F16/2))</f>
        <v>1.8356999999999999</v>
      </c>
      <c r="C16" s="38">
        <v>200</v>
      </c>
      <c r="F16" s="38">
        <v>30</v>
      </c>
    </row>
    <row r="17" spans="1:6" ht="15">
      <c r="A17" s="2" t="s">
        <v>14</v>
      </c>
      <c r="B17" s="40">
        <f>12.5985-12.2371</f>
        <v>0.3613999999999997</v>
      </c>
      <c r="C17" s="38">
        <v>200</v>
      </c>
      <c r="F17" s="8">
        <f>DEGREES(2*ATAN(B17*E$15/(2*C17)))</f>
        <v>6.0393355241447235</v>
      </c>
    </row>
    <row r="18" spans="1:6" ht="15">
      <c r="A18" s="2" t="s">
        <v>15</v>
      </c>
      <c r="B18" s="40">
        <f>12.7108-12.1971</f>
        <v>0.5137</v>
      </c>
      <c r="C18" s="38">
        <v>200</v>
      </c>
      <c r="F18" s="8">
        <f>DEGREES(2*ATAN(B18*E$15/(2*C18)))</f>
        <v>8.576320273033783</v>
      </c>
    </row>
    <row r="19" spans="1:6" ht="15">
      <c r="A19" s="2"/>
      <c r="B19" s="40"/>
      <c r="C19" s="38"/>
      <c r="F19" s="8"/>
    </row>
    <row r="20" spans="1:2" ht="15">
      <c r="A20" s="1"/>
      <c r="B20" s="9"/>
    </row>
    <row r="21" spans="1:2" ht="17.25" customHeight="1">
      <c r="A21" s="37" t="s">
        <v>18</v>
      </c>
      <c r="B21" s="9"/>
    </row>
    <row r="22" spans="1:6" ht="15">
      <c r="A22" s="2" t="s">
        <v>61</v>
      </c>
      <c r="B22" s="40">
        <f>(7.5045-7.439)</f>
        <v>0.06550000000000011</v>
      </c>
      <c r="C22" s="38">
        <v>100</v>
      </c>
      <c r="E22" s="9">
        <f>B22*E8</f>
        <v>4.615764067509962</v>
      </c>
      <c r="F22" s="8">
        <f>DEGREES(2*ATAN(B22*E$8/(2*C22)))</f>
        <v>2.644168613398676</v>
      </c>
    </row>
    <row r="23" spans="1:6" ht="15">
      <c r="A23" s="2" t="s">
        <v>62</v>
      </c>
      <c r="B23" s="40">
        <f>B22/2</f>
        <v>0.03275000000000006</v>
      </c>
      <c r="C23" s="38">
        <v>50</v>
      </c>
      <c r="E23" s="9">
        <f>B23*E8</f>
        <v>2.307882033754981</v>
      </c>
      <c r="F23" s="8">
        <f>DEGREES(2*ATAN(B23*E$8/(2*C23)))</f>
        <v>2.644168613398676</v>
      </c>
    </row>
    <row r="24" spans="1:6" ht="15">
      <c r="A24" s="2" t="s">
        <v>19</v>
      </c>
      <c r="B24" s="9">
        <f>2*C24*TAN(RADIANS(F24/2))*D8</f>
        <v>0.29943087687335734</v>
      </c>
      <c r="C24" s="38">
        <v>200</v>
      </c>
      <c r="E24" s="9">
        <f>B24*E8</f>
        <v>21.10079820114565</v>
      </c>
      <c r="F24" s="8">
        <f>F17</f>
        <v>6.0393355241447235</v>
      </c>
    </row>
    <row r="25" spans="1:6" ht="15">
      <c r="A25" s="2" t="s">
        <v>20</v>
      </c>
      <c r="B25" s="9"/>
      <c r="F25" s="8">
        <f>2*DEGREES(ATAN((B23+B24)/((C24-C23)*2*D8)))</f>
        <v>8.923376483779634</v>
      </c>
    </row>
    <row r="26" spans="1:6" ht="15">
      <c r="A26" s="2" t="s">
        <v>21</v>
      </c>
      <c r="B26" s="79">
        <f>C24-(E8*B24/(2*TAN(RADIANS(F25/2))))</f>
        <v>64.78862975568842</v>
      </c>
      <c r="F26" s="9"/>
    </row>
    <row r="27" spans="1:6" ht="15">
      <c r="A27" s="21" t="s">
        <v>22</v>
      </c>
      <c r="B27" s="40">
        <v>3.6</v>
      </c>
      <c r="C27" s="9">
        <f>(B26/100)+B27/TAN(RADIANS(F25/2))</f>
        <v>46.78461802110784</v>
      </c>
      <c r="F27" s="9"/>
    </row>
    <row r="28" spans="1:3" ht="15">
      <c r="A28" s="21" t="s">
        <v>22</v>
      </c>
      <c r="B28" s="40">
        <f>3.6*4</f>
        <v>14.4</v>
      </c>
      <c r="C28" s="9">
        <f>(B26/100)+B28/TAN(RADIANS(F25/2))</f>
        <v>185.1948131917607</v>
      </c>
    </row>
    <row r="30" ht="15">
      <c r="A30" s="2"/>
    </row>
    <row r="31" ht="18.75">
      <c r="A31" s="14"/>
    </row>
    <row r="32" ht="15">
      <c r="A32" s="2"/>
    </row>
    <row r="33" ht="15">
      <c r="A33" s="1"/>
    </row>
    <row r="34" ht="15">
      <c r="A34" s="2"/>
    </row>
    <row r="35" spans="1:3" ht="15">
      <c r="A35" s="2"/>
      <c r="B35" s="7"/>
      <c r="C35" s="7"/>
    </row>
    <row r="36" ht="15">
      <c r="A36" s="1"/>
    </row>
    <row r="37" spans="1:6" ht="15">
      <c r="A37" s="2"/>
      <c r="F37" s="8"/>
    </row>
    <row r="38" spans="1:6" ht="15">
      <c r="A38" s="2"/>
      <c r="F38" s="8"/>
    </row>
    <row r="39" spans="1:6" ht="15">
      <c r="A39" s="2"/>
      <c r="B39" s="4"/>
      <c r="F39" s="8"/>
    </row>
    <row r="40" spans="1:6" ht="12" customHeight="1">
      <c r="A40" s="2"/>
      <c r="F40" s="8"/>
    </row>
    <row r="41" spans="1:6" ht="15">
      <c r="A41" s="2"/>
      <c r="F41" s="8"/>
    </row>
    <row r="42" spans="1:6" ht="15">
      <c r="A42" s="2"/>
      <c r="F42" s="8"/>
    </row>
    <row r="43" spans="1:6" ht="15">
      <c r="A43" s="2"/>
      <c r="F43" s="8"/>
    </row>
    <row r="44" spans="1:6" ht="15">
      <c r="A44" s="2"/>
      <c r="F44" s="8"/>
    </row>
    <row r="45" spans="1:6" ht="15">
      <c r="A45" s="2"/>
      <c r="F45" s="8"/>
    </row>
    <row r="46" spans="1:6" ht="15">
      <c r="A46" s="2"/>
      <c r="F46" s="8"/>
    </row>
    <row r="47" spans="1:6" ht="15">
      <c r="A47" s="2"/>
      <c r="F47" s="8"/>
    </row>
    <row r="48" spans="1:6" ht="15">
      <c r="A48" s="2"/>
      <c r="F48" s="8"/>
    </row>
    <row r="49" spans="1:6" ht="15">
      <c r="A49" s="2"/>
      <c r="F49" s="8"/>
    </row>
    <row r="50" spans="1:6" ht="15">
      <c r="A50" s="2"/>
      <c r="B50" s="5"/>
      <c r="C50" s="1"/>
      <c r="D50" s="1"/>
      <c r="E50" s="1"/>
      <c r="F50" s="3"/>
    </row>
    <row r="51" ht="15">
      <c r="A51" s="2"/>
    </row>
    <row r="52" spans="1:11" ht="15">
      <c r="A52" s="21"/>
      <c r="B52" s="11"/>
      <c r="C52" s="12"/>
      <c r="D52" s="12"/>
      <c r="E52" s="12"/>
      <c r="F52" s="22"/>
      <c r="G52" s="20"/>
      <c r="H52" s="20"/>
      <c r="I52" s="20"/>
      <c r="J52" s="20"/>
      <c r="K52" s="20"/>
    </row>
    <row r="53" spans="1:11" ht="15">
      <c r="A53" s="21"/>
      <c r="B53" s="11"/>
      <c r="C53" s="12"/>
      <c r="D53" s="12"/>
      <c r="E53" s="12"/>
      <c r="F53" s="22"/>
      <c r="G53" s="20"/>
      <c r="H53" s="20"/>
      <c r="I53" s="20"/>
      <c r="J53" s="20"/>
      <c r="K53" s="20"/>
    </row>
    <row r="54" spans="1:11" ht="15">
      <c r="A54" s="21"/>
      <c r="B54" s="11"/>
      <c r="C54" s="12"/>
      <c r="D54" s="12"/>
      <c r="E54" s="12"/>
      <c r="F54" s="22"/>
      <c r="G54" s="20"/>
      <c r="H54" s="20"/>
      <c r="I54" s="20"/>
      <c r="J54" s="20"/>
      <c r="K54" s="20"/>
    </row>
    <row r="55" spans="1:11" ht="18.75">
      <c r="A55" s="16"/>
      <c r="B55" s="17"/>
      <c r="C55" s="18"/>
      <c r="D55" s="18"/>
      <c r="E55" s="18"/>
      <c r="F55" s="19"/>
      <c r="G55" s="20"/>
      <c r="H55" s="20"/>
      <c r="I55" s="20"/>
      <c r="J55" s="20"/>
      <c r="K55" s="20"/>
    </row>
    <row r="56" spans="1:11" ht="15">
      <c r="A56" s="21"/>
      <c r="B56" s="11"/>
      <c r="C56" s="12"/>
      <c r="D56" s="12"/>
      <c r="E56" s="12"/>
      <c r="F56" s="12"/>
      <c r="G56" s="20"/>
      <c r="H56" s="20"/>
      <c r="I56" s="20"/>
      <c r="J56" s="20"/>
      <c r="K56" s="20"/>
    </row>
    <row r="57" spans="1:11" ht="15">
      <c r="A57" s="20"/>
      <c r="B57" s="11"/>
      <c r="C57" s="12"/>
      <c r="D57" s="12"/>
      <c r="E57" s="12"/>
      <c r="F57" s="12"/>
      <c r="G57" s="20"/>
      <c r="H57" s="20"/>
      <c r="I57" s="20"/>
      <c r="J57" s="20"/>
      <c r="K57" s="20"/>
    </row>
    <row r="58" spans="1:11" ht="15">
      <c r="A58" s="23"/>
      <c r="B58" s="11"/>
      <c r="C58" s="12"/>
      <c r="D58" s="12"/>
      <c r="E58" s="12"/>
      <c r="F58" s="22"/>
      <c r="G58" s="20"/>
      <c r="H58" s="20"/>
      <c r="I58" s="20"/>
      <c r="J58" s="20"/>
      <c r="K58" s="20"/>
    </row>
    <row r="59" spans="1:11" ht="15">
      <c r="A59" s="21"/>
      <c r="B59" s="11"/>
      <c r="C59" s="12"/>
      <c r="D59" s="12"/>
      <c r="E59" s="12"/>
      <c r="F59" s="22"/>
      <c r="G59" s="20"/>
      <c r="H59" s="20"/>
      <c r="I59" s="20"/>
      <c r="J59" s="20"/>
      <c r="K59" s="20"/>
    </row>
    <row r="60" spans="1:11" ht="15">
      <c r="A60" s="21"/>
      <c r="B60" s="11"/>
      <c r="C60" s="12"/>
      <c r="D60" s="12"/>
      <c r="E60" s="12"/>
      <c r="F60" s="22"/>
      <c r="G60" s="20"/>
      <c r="H60" s="20"/>
      <c r="I60" s="20"/>
      <c r="J60" s="20"/>
      <c r="K60" s="20"/>
    </row>
    <row r="61" spans="1:11" ht="15">
      <c r="A61" s="24"/>
      <c r="B61" s="11"/>
      <c r="C61" s="12"/>
      <c r="D61" s="12"/>
      <c r="E61" s="12"/>
      <c r="F61" s="22"/>
      <c r="G61" s="20"/>
      <c r="H61" s="20"/>
      <c r="I61" s="20"/>
      <c r="J61" s="20"/>
      <c r="K61" s="20"/>
    </row>
    <row r="62" spans="1:11" ht="15">
      <c r="A62" s="24"/>
      <c r="B62" s="11"/>
      <c r="C62" s="12"/>
      <c r="D62" s="12"/>
      <c r="E62" s="12"/>
      <c r="F62" s="22"/>
      <c r="G62" s="20"/>
      <c r="H62" s="20"/>
      <c r="I62" s="20"/>
      <c r="J62" s="20"/>
      <c r="K62" s="20"/>
    </row>
    <row r="63" spans="1:11" ht="15">
      <c r="A63" s="24"/>
      <c r="B63" s="11"/>
      <c r="C63" s="12"/>
      <c r="D63" s="12"/>
      <c r="E63" s="12"/>
      <c r="F63" s="22"/>
      <c r="G63" s="20"/>
      <c r="H63" s="20"/>
      <c r="I63" s="20"/>
      <c r="J63" s="20"/>
      <c r="K63" s="20"/>
    </row>
    <row r="64" spans="1:11" ht="15">
      <c r="A64" s="21"/>
      <c r="B64" s="11"/>
      <c r="C64" s="12"/>
      <c r="D64" s="12"/>
      <c r="E64" s="12"/>
      <c r="F64" s="22"/>
      <c r="G64" s="20"/>
      <c r="H64" s="20"/>
      <c r="I64" s="20"/>
      <c r="J64" s="20"/>
      <c r="K64" s="20"/>
    </row>
    <row r="65" spans="1:11" ht="15">
      <c r="A65" s="24"/>
      <c r="B65" s="11"/>
      <c r="C65" s="12"/>
      <c r="D65" s="12"/>
      <c r="E65" s="12"/>
      <c r="F65" s="22"/>
      <c r="G65" s="20"/>
      <c r="H65" s="20"/>
      <c r="I65" s="20"/>
      <c r="J65" s="20"/>
      <c r="K65" s="20"/>
    </row>
    <row r="66" spans="1:11" ht="15">
      <c r="A66" s="21"/>
      <c r="B66" s="11"/>
      <c r="C66" s="12"/>
      <c r="D66" s="12"/>
      <c r="E66" s="12"/>
      <c r="F66" s="22"/>
      <c r="G66" s="20"/>
      <c r="H66" s="20"/>
      <c r="I66" s="20"/>
      <c r="J66" s="20"/>
      <c r="K66" s="20"/>
    </row>
    <row r="67" spans="1:11" ht="15">
      <c r="A67" s="21"/>
      <c r="B67" s="11"/>
      <c r="C67" s="22"/>
      <c r="D67" s="12"/>
      <c r="E67" s="12"/>
      <c r="F67" s="22"/>
      <c r="G67" s="20"/>
      <c r="H67" s="20"/>
      <c r="I67" s="20"/>
      <c r="J67" s="20"/>
      <c r="K67" s="20"/>
    </row>
    <row r="68" spans="1:11" ht="15">
      <c r="A68" s="24"/>
      <c r="B68" s="11"/>
      <c r="C68" s="22"/>
      <c r="D68" s="12"/>
      <c r="E68" s="12"/>
      <c r="F68" s="12"/>
      <c r="G68" s="20"/>
      <c r="H68" s="20"/>
      <c r="I68" s="20"/>
      <c r="J68" s="20"/>
      <c r="K68" s="20"/>
    </row>
    <row r="69" spans="1:11" ht="15">
      <c r="A69" s="24"/>
      <c r="B69" s="11"/>
      <c r="C69" s="12"/>
      <c r="D69" s="12"/>
      <c r="E69" s="12"/>
      <c r="F69" s="22"/>
      <c r="G69" s="20"/>
      <c r="H69" s="20"/>
      <c r="I69" s="20"/>
      <c r="J69" s="20"/>
      <c r="K69" s="20"/>
    </row>
    <row r="70" spans="1:11" ht="15">
      <c r="A70" s="24"/>
      <c r="B70" s="11"/>
      <c r="C70" s="12"/>
      <c r="D70" s="12"/>
      <c r="E70" s="12"/>
      <c r="F70" s="12"/>
      <c r="G70" s="20"/>
      <c r="H70" s="20"/>
      <c r="I70" s="20"/>
      <c r="J70" s="20"/>
      <c r="K70" s="20"/>
    </row>
    <row r="71" spans="1:11" ht="15">
      <c r="A71" s="21"/>
      <c r="B71" s="11"/>
      <c r="C71" s="12"/>
      <c r="D71" s="11"/>
      <c r="E71" s="11"/>
      <c r="F71" s="12"/>
      <c r="G71" s="20"/>
      <c r="H71" s="20"/>
      <c r="I71" s="20"/>
      <c r="J71" s="20"/>
      <c r="K71" s="20"/>
    </row>
    <row r="72" spans="1:11" ht="15">
      <c r="A72" s="24"/>
      <c r="B72" s="11"/>
      <c r="C72" s="22"/>
      <c r="D72" s="12"/>
      <c r="E72" s="12"/>
      <c r="F72" s="22"/>
      <c r="G72" s="20"/>
      <c r="H72" s="20"/>
      <c r="I72" s="20"/>
      <c r="J72" s="20"/>
      <c r="K72" s="20"/>
    </row>
    <row r="73" spans="1:11" ht="15">
      <c r="A73" s="24"/>
      <c r="B73" s="11"/>
      <c r="C73" s="12"/>
      <c r="D73" s="12"/>
      <c r="E73" s="12"/>
      <c r="F73" s="12"/>
      <c r="G73" s="20"/>
      <c r="H73" s="20"/>
      <c r="I73" s="20"/>
      <c r="J73" s="20"/>
      <c r="K73" s="20"/>
    </row>
    <row r="74" spans="1:11" ht="15">
      <c r="A74" s="24"/>
      <c r="B74" s="11"/>
      <c r="C74" s="12"/>
      <c r="D74" s="12"/>
      <c r="E74" s="12"/>
      <c r="F74" s="12"/>
      <c r="G74" s="20"/>
      <c r="H74" s="20"/>
      <c r="I74" s="20"/>
      <c r="J74" s="20"/>
      <c r="K74" s="20"/>
    </row>
    <row r="75" spans="1:11" ht="15">
      <c r="A75" s="24"/>
      <c r="B75" s="11"/>
      <c r="C75" s="12"/>
      <c r="D75" s="12"/>
      <c r="E75" s="12"/>
      <c r="F75" s="12"/>
      <c r="G75" s="20"/>
      <c r="H75" s="20"/>
      <c r="I75" s="20"/>
      <c r="J75" s="20"/>
      <c r="K75" s="20"/>
    </row>
    <row r="76" spans="1:11" ht="15">
      <c r="A76" s="24"/>
      <c r="B76" s="11"/>
      <c r="C76" s="12"/>
      <c r="D76" s="12"/>
      <c r="E76" s="12"/>
      <c r="F76" s="12"/>
      <c r="G76" s="20"/>
      <c r="H76" s="20"/>
      <c r="I76" s="20"/>
      <c r="J76" s="20"/>
      <c r="K76" s="20"/>
    </row>
    <row r="77" spans="1:11" ht="15">
      <c r="A77" s="24"/>
      <c r="B77" s="11"/>
      <c r="C77" s="12"/>
      <c r="D77" s="12"/>
      <c r="E77" s="12"/>
      <c r="F77" s="12"/>
      <c r="G77" s="20"/>
      <c r="H77" s="20"/>
      <c r="I77" s="20"/>
      <c r="J77" s="20"/>
      <c r="K77" s="20"/>
    </row>
    <row r="78" spans="1:11" ht="15">
      <c r="A78" s="24"/>
      <c r="B78" s="11"/>
      <c r="C78" s="12"/>
      <c r="D78" s="12"/>
      <c r="E78" s="12"/>
      <c r="F78" s="12"/>
      <c r="G78" s="20"/>
      <c r="H78" s="20"/>
      <c r="I78" s="20"/>
      <c r="J78" s="20"/>
      <c r="K78" s="20"/>
    </row>
    <row r="79" spans="1:11" ht="18.75">
      <c r="A79" s="16"/>
      <c r="B79" s="11"/>
      <c r="C79" s="12"/>
      <c r="D79" s="12"/>
      <c r="E79" s="12"/>
      <c r="F79" s="12"/>
      <c r="G79" s="20"/>
      <c r="H79" s="20"/>
      <c r="I79" s="20"/>
      <c r="J79" s="20"/>
      <c r="K79" s="20"/>
    </row>
    <row r="80" spans="1:11" ht="15">
      <c r="A80" s="20"/>
      <c r="B80" s="11"/>
      <c r="C80" s="12"/>
      <c r="D80" s="12"/>
      <c r="E80" s="12"/>
      <c r="F80" s="12"/>
      <c r="G80" s="20"/>
      <c r="H80" s="20"/>
      <c r="I80" s="20"/>
      <c r="J80" s="20"/>
      <c r="K80" s="20"/>
    </row>
    <row r="81" spans="1:11" s="4" customFormat="1" ht="15">
      <c r="A81" s="25"/>
      <c r="B81" s="11"/>
      <c r="C81" s="12"/>
      <c r="D81" s="12"/>
      <c r="E81" s="12"/>
      <c r="F81" s="12"/>
      <c r="G81" s="20"/>
      <c r="H81" s="20"/>
      <c r="I81" s="20"/>
      <c r="J81" s="20"/>
      <c r="K81" s="20"/>
    </row>
    <row r="82" spans="1:11" s="4" customFormat="1" ht="15">
      <c r="A82" s="25"/>
      <c r="B82" s="11"/>
      <c r="C82" s="12"/>
      <c r="D82" s="12"/>
      <c r="E82" s="12"/>
      <c r="F82" s="12"/>
      <c r="G82" s="20"/>
      <c r="H82" s="20"/>
      <c r="I82" s="20"/>
      <c r="J82" s="20"/>
      <c r="K82" s="20"/>
    </row>
    <row r="83" spans="1:11" s="4" customFormat="1" ht="15">
      <c r="A83" s="25"/>
      <c r="B83" s="11"/>
      <c r="C83" s="22"/>
      <c r="D83" s="22"/>
      <c r="E83" s="12"/>
      <c r="F83" s="12"/>
      <c r="G83" s="20"/>
      <c r="H83" s="20"/>
      <c r="I83" s="20"/>
      <c r="J83" s="20"/>
      <c r="K83" s="20"/>
    </row>
    <row r="84" spans="1:11" s="4" customFormat="1" ht="15">
      <c r="A84" s="25"/>
      <c r="B84" s="11"/>
      <c r="C84" s="12"/>
      <c r="D84" s="12"/>
      <c r="E84" s="12"/>
      <c r="F84" s="12"/>
      <c r="G84" s="20"/>
      <c r="H84" s="20"/>
      <c r="I84" s="20"/>
      <c r="J84" s="20"/>
      <c r="K84" s="20"/>
    </row>
    <row r="85" spans="1:11" s="4" customFormat="1" ht="15">
      <c r="A85" s="25"/>
      <c r="B85" s="11"/>
      <c r="C85" s="12"/>
      <c r="D85" s="12"/>
      <c r="E85" s="12"/>
      <c r="F85" s="12"/>
      <c r="G85" s="20"/>
      <c r="H85" s="20"/>
      <c r="I85" s="20"/>
      <c r="J85" s="20"/>
      <c r="K85" s="20"/>
    </row>
  </sheetData>
  <sheetProtection/>
  <mergeCells count="2">
    <mergeCell ref="A1:G4"/>
    <mergeCell ref="D6:E6"/>
  </mergeCells>
  <printOptions/>
  <pageMargins left="0.7" right="0.7" top="0.75" bottom="0.75" header="0.3" footer="0.3"/>
  <pageSetup horizontalDpi="600" verticalDpi="600" orientation="landscape" scale="95" r:id="rId1"/>
</worksheet>
</file>

<file path=xl/worksheets/sheet3.xml><?xml version="1.0" encoding="utf-8"?>
<worksheet xmlns="http://schemas.openxmlformats.org/spreadsheetml/2006/main" xmlns:r="http://schemas.openxmlformats.org/officeDocument/2006/relationships">
  <dimension ref="A1:K61"/>
  <sheetViews>
    <sheetView zoomScale="90" zoomScaleNormal="90" zoomScalePageLayoutView="0" workbookViewId="0" topLeftCell="A1">
      <selection activeCell="M7" sqref="M7"/>
    </sheetView>
  </sheetViews>
  <sheetFormatPr defaultColWidth="9.140625" defaultRowHeight="15"/>
  <cols>
    <col min="1" max="1" width="61.7109375" style="0" customWidth="1"/>
    <col min="2" max="2" width="9.7109375" style="6" customWidth="1"/>
    <col min="3" max="3" width="9.57421875" style="4" customWidth="1"/>
    <col min="4" max="4" width="9.140625" style="4" customWidth="1"/>
    <col min="5" max="5" width="8.57421875" style="4" customWidth="1"/>
    <col min="6" max="6" width="8.421875" style="4" customWidth="1"/>
    <col min="7" max="7" width="8.8515625" style="0" customWidth="1"/>
    <col min="8" max="8" width="8.7109375" style="0" customWidth="1"/>
    <col min="9" max="9" width="5.421875" style="0" customWidth="1"/>
    <col min="10" max="10" width="5.7109375" style="0" customWidth="1"/>
    <col min="11" max="11" width="7.57421875" style="0" customWidth="1"/>
  </cols>
  <sheetData>
    <row r="1" spans="1:5" s="1" customFormat="1" ht="18.75">
      <c r="A1" s="14" t="s">
        <v>50</v>
      </c>
      <c r="D1" s="75" t="s">
        <v>65</v>
      </c>
      <c r="E1" s="75"/>
    </row>
    <row r="2" spans="2:6" ht="15">
      <c r="B2" s="5" t="s">
        <v>0</v>
      </c>
      <c r="C2" s="1" t="s">
        <v>1</v>
      </c>
      <c r="D2" s="1" t="s">
        <v>2</v>
      </c>
      <c r="E2" s="1" t="s">
        <v>3</v>
      </c>
      <c r="F2" s="3" t="s">
        <v>65</v>
      </c>
    </row>
    <row r="3" spans="1:5" ht="15">
      <c r="A3" s="1" t="s">
        <v>25</v>
      </c>
      <c r="B3" s="40">
        <f>1.98*2^0.5</f>
        <v>2.8001428534987283</v>
      </c>
      <c r="C3" s="38">
        <v>200</v>
      </c>
      <c r="D3" s="9">
        <f>B3/C3</f>
        <v>0.014000714267493641</v>
      </c>
      <c r="E3" s="9">
        <f>C3/B3</f>
        <v>71.42492739258056</v>
      </c>
    </row>
    <row r="4" spans="1:6" ht="15">
      <c r="A4" s="1" t="s">
        <v>24</v>
      </c>
      <c r="B4" s="9">
        <f>D3*2*C4*TAN(RADIANS(F4/2))</f>
        <v>1.6166632302368975</v>
      </c>
      <c r="C4" s="38">
        <v>100</v>
      </c>
      <c r="F4" s="38">
        <v>60</v>
      </c>
    </row>
    <row r="5" ht="15.75" thickBot="1">
      <c r="A5" s="2"/>
    </row>
    <row r="6" spans="1:6" ht="66.75" customHeight="1" thickBot="1">
      <c r="A6" s="62" t="s">
        <v>58</v>
      </c>
      <c r="B6" s="63"/>
      <c r="C6" s="63"/>
      <c r="D6" s="63"/>
      <c r="E6" s="63"/>
      <c r="F6" s="64"/>
    </row>
    <row r="7" ht="15">
      <c r="A7" s="2"/>
    </row>
    <row r="8" spans="1:6" ht="15">
      <c r="A8" s="2"/>
      <c r="B8" s="1"/>
      <c r="C8" s="1"/>
      <c r="D8" s="75" t="s">
        <v>65</v>
      </c>
      <c r="E8" s="75"/>
      <c r="F8" s="1"/>
    </row>
    <row r="9" spans="1:6" ht="15">
      <c r="A9" s="2"/>
      <c r="B9" s="5" t="s">
        <v>0</v>
      </c>
      <c r="C9" s="1" t="s">
        <v>1</v>
      </c>
      <c r="D9" s="1" t="s">
        <v>2</v>
      </c>
      <c r="E9" s="1" t="s">
        <v>3</v>
      </c>
      <c r="F9" s="3" t="s">
        <v>65</v>
      </c>
    </row>
    <row r="10" ht="18.75">
      <c r="A10" s="14" t="s">
        <v>6</v>
      </c>
    </row>
    <row r="11" spans="1:6" ht="15">
      <c r="A11" s="2" t="s">
        <v>23</v>
      </c>
      <c r="B11" s="40">
        <v>1.5316</v>
      </c>
      <c r="C11" s="49">
        <v>100</v>
      </c>
      <c r="D11" s="9">
        <f>B11/(2*C11*TAN(RADIANS(F11/2)))</f>
        <v>0.013264045084362464</v>
      </c>
      <c r="E11" s="9">
        <f>1/D11</f>
        <v>75.39178234390516</v>
      </c>
      <c r="F11" s="4">
        <v>60</v>
      </c>
    </row>
    <row r="12" ht="15">
      <c r="A12" s="1"/>
    </row>
    <row r="13" spans="1:11" ht="15">
      <c r="A13" s="2" t="s">
        <v>7</v>
      </c>
      <c r="B13" s="9">
        <f>C13*D11</f>
        <v>0.08356348403148352</v>
      </c>
      <c r="C13" s="38">
        <v>6.3</v>
      </c>
      <c r="F13" s="8">
        <f>2*DEGREES(ATAN(0.5*C13/100))</f>
        <v>3.6084409331194673</v>
      </c>
      <c r="G13" s="25" t="s">
        <v>67</v>
      </c>
      <c r="H13" s="50"/>
      <c r="I13" s="20"/>
      <c r="J13" s="25"/>
      <c r="K13" s="50"/>
    </row>
    <row r="14" spans="1:3" ht="15">
      <c r="A14" s="2" t="s">
        <v>8</v>
      </c>
      <c r="B14" s="48">
        <v>1.19</v>
      </c>
      <c r="C14" s="48">
        <f>1/B14</f>
        <v>0.8403361344537815</v>
      </c>
    </row>
    <row r="15" ht="15">
      <c r="A15" s="1" t="s">
        <v>29</v>
      </c>
    </row>
    <row r="16" spans="1:6" ht="15">
      <c r="A16" s="2" t="s">
        <v>26</v>
      </c>
      <c r="B16" s="40">
        <f>1.5437-1.4659</f>
        <v>0.07780000000000009</v>
      </c>
      <c r="C16" s="9">
        <f>B16*$E$11</f>
        <v>5.865480666355829</v>
      </c>
      <c r="F16" s="47">
        <f>2*DEGREES(ATAN(C16/200))</f>
        <v>3.359709865807255</v>
      </c>
    </row>
    <row r="17" spans="1:6" ht="15">
      <c r="A17" s="2" t="s">
        <v>27</v>
      </c>
      <c r="B17" s="40">
        <f>1.5346-1.4616</f>
        <v>0.07299999999999995</v>
      </c>
      <c r="C17" s="9">
        <f>B17*$E$11</f>
        <v>5.503600111105073</v>
      </c>
      <c r="F17" s="47">
        <f>2*DEGREES(ATAN(C17/200))</f>
        <v>3.1525350033204083</v>
      </c>
    </row>
    <row r="18" spans="1:6" ht="15">
      <c r="A18" s="2" t="s">
        <v>28</v>
      </c>
      <c r="B18" s="40">
        <f>1.5186-1.4552</f>
        <v>0.0633999999999999</v>
      </c>
      <c r="C18" s="9">
        <f>B18*$E$11</f>
        <v>4.77983900060358</v>
      </c>
      <c r="F18" s="47">
        <f>2*DEGREES(ATAN(C18/200))</f>
        <v>2.7381247812787697</v>
      </c>
    </row>
    <row r="19" spans="1:6" ht="12" customHeight="1">
      <c r="A19" s="2" t="s">
        <v>63</v>
      </c>
      <c r="F19" s="47">
        <f>2*DEGREES(ATAN((C18+C13)/(2*C11)))</f>
        <v>6.341797616773244</v>
      </c>
    </row>
    <row r="20" spans="1:6" ht="15">
      <c r="A20" s="2" t="s">
        <v>30</v>
      </c>
      <c r="C20" s="9">
        <f>C13*C11/(C13+C18)</f>
        <v>56.8600319883421</v>
      </c>
      <c r="F20" s="8"/>
    </row>
    <row r="21" spans="1:6" ht="15">
      <c r="A21" s="2" t="s">
        <v>31</v>
      </c>
      <c r="C21" s="9">
        <f>(C20-50)*C13/C20</f>
        <v>0.7600804996982093</v>
      </c>
      <c r="F21" s="8">
        <f>2*DEGREES(ATAN(C21/100))</f>
        <v>0.8709713220626673</v>
      </c>
    </row>
    <row r="22" spans="1:6" ht="15">
      <c r="A22" s="2" t="s">
        <v>32</v>
      </c>
      <c r="C22" s="9"/>
      <c r="F22" s="47">
        <f>2*DEGREES(ATAN((C17+C13)/(2*C11)))</f>
        <v>6.755128980991872</v>
      </c>
    </row>
    <row r="23" spans="1:6" ht="15">
      <c r="A23" s="2" t="s">
        <v>30</v>
      </c>
      <c r="C23" s="9">
        <f>C13*C11/(C13+C17)</f>
        <v>53.37354655104614</v>
      </c>
      <c r="F23" s="8"/>
    </row>
    <row r="24" spans="1:9" ht="15">
      <c r="A24" s="2" t="s">
        <v>33</v>
      </c>
      <c r="C24" s="9">
        <f>(C23-50)*C13/C23</f>
        <v>0.3981999444474635</v>
      </c>
      <c r="F24" s="8">
        <f>2*DEGREES(ATAN(C24/100))</f>
        <v>0.4563011126417793</v>
      </c>
      <c r="H24" s="20"/>
      <c r="I24" s="50"/>
    </row>
    <row r="25" spans="1:6" ht="15">
      <c r="A25" s="2" t="s">
        <v>9</v>
      </c>
      <c r="B25" s="40">
        <f>1.0193-1.0089</f>
        <v>0.010400000000000187</v>
      </c>
      <c r="C25" s="9">
        <f>B25*$E$11</f>
        <v>0.7840745363766278</v>
      </c>
      <c r="F25" s="8">
        <f>2*DEGREES(ATAN(C25/100))</f>
        <v>0.8984648237361147</v>
      </c>
    </row>
    <row r="26" spans="1:6" ht="15">
      <c r="A26" s="2" t="s">
        <v>34</v>
      </c>
      <c r="B26" s="40">
        <f>1.0157-1.0101</f>
        <v>0.005600000000000049</v>
      </c>
      <c r="C26" s="9">
        <f>B26*$E$11</f>
        <v>0.42219398112587264</v>
      </c>
      <c r="F26" s="8">
        <f>2*DEGREES(ATAN(C26/100))</f>
        <v>0.4837957905832701</v>
      </c>
    </row>
    <row r="27" spans="1:6" ht="15">
      <c r="A27" s="2" t="s">
        <v>10</v>
      </c>
      <c r="B27" s="40">
        <f>1.3613-1.2543</f>
        <v>0.10699999999999998</v>
      </c>
      <c r="C27" s="9">
        <f>B27*$E$11</f>
        <v>8.06692071079785</v>
      </c>
      <c r="F27" s="47">
        <f>2*DEGREES(ATAN(C27/100))</f>
        <v>9.224036275128842</v>
      </c>
    </row>
    <row r="28" spans="1:6" ht="15">
      <c r="A28" s="2"/>
      <c r="F28" s="8"/>
    </row>
    <row r="29" spans="1:6" ht="15">
      <c r="A29" s="2"/>
      <c r="B29" s="5" t="s">
        <v>0</v>
      </c>
      <c r="C29" s="1" t="s">
        <v>1</v>
      </c>
      <c r="D29" s="1" t="s">
        <v>2</v>
      </c>
      <c r="E29" s="1" t="s">
        <v>3</v>
      </c>
      <c r="F29" s="3" t="s">
        <v>65</v>
      </c>
    </row>
    <row r="30" spans="1:6" ht="15">
      <c r="A30" s="2" t="s">
        <v>35</v>
      </c>
      <c r="B30" s="40">
        <v>1.5203</v>
      </c>
      <c r="C30" s="38">
        <v>50</v>
      </c>
      <c r="D30" s="39">
        <f>B30/(2*C30*TAN(RADIANS(F30/2)))</f>
        <v>0.02633236842746964</v>
      </c>
      <c r="E30" s="39">
        <f>1/D30</f>
        <v>37.9760750634497</v>
      </c>
      <c r="F30" s="38">
        <v>60</v>
      </c>
    </row>
    <row r="31" spans="1:6" ht="15">
      <c r="A31" s="2" t="s">
        <v>36</v>
      </c>
      <c r="B31" s="40">
        <v>0.1398</v>
      </c>
      <c r="C31" s="9">
        <f>B31*E30</f>
        <v>5.309055293870268</v>
      </c>
      <c r="F31" s="47">
        <f>2*DEGREES(ATAN(C31/(2*C30)))</f>
        <v>6.078022997663429</v>
      </c>
    </row>
    <row r="32" spans="1:6" ht="15.75" thickBot="1">
      <c r="A32" s="2"/>
      <c r="F32" s="8"/>
    </row>
    <row r="33" spans="1:7" ht="15">
      <c r="A33" s="65" t="s">
        <v>59</v>
      </c>
      <c r="B33" s="66"/>
      <c r="C33" s="66"/>
      <c r="D33" s="66"/>
      <c r="E33" s="66"/>
      <c r="F33" s="66"/>
      <c r="G33" s="67"/>
    </row>
    <row r="34" spans="1:7" ht="15">
      <c r="A34" s="68"/>
      <c r="B34" s="69"/>
      <c r="C34" s="69"/>
      <c r="D34" s="69"/>
      <c r="E34" s="69"/>
      <c r="F34" s="69"/>
      <c r="G34" s="70"/>
    </row>
    <row r="35" spans="1:7" ht="19.5" customHeight="1" thickBot="1">
      <c r="A35" s="71"/>
      <c r="B35" s="72"/>
      <c r="C35" s="72"/>
      <c r="D35" s="72"/>
      <c r="E35" s="72"/>
      <c r="F35" s="72"/>
      <c r="G35" s="73"/>
    </row>
    <row r="36" spans="1:7" ht="19.5" customHeight="1">
      <c r="A36" s="46"/>
      <c r="B36" s="46"/>
      <c r="C36" s="46"/>
      <c r="D36" s="46"/>
      <c r="E36" s="46"/>
      <c r="F36" s="46"/>
      <c r="G36" s="46"/>
    </row>
    <row r="37" spans="1:7" ht="19.5" customHeight="1">
      <c r="A37" s="46"/>
      <c r="B37" s="46"/>
      <c r="C37" s="46"/>
      <c r="D37" s="74" t="s">
        <v>64</v>
      </c>
      <c r="E37" s="74"/>
      <c r="F37" s="46"/>
      <c r="G37" s="46"/>
    </row>
    <row r="38" spans="1:6" ht="18.75">
      <c r="A38" s="14" t="s">
        <v>12</v>
      </c>
      <c r="B38" s="5" t="s">
        <v>0</v>
      </c>
      <c r="C38" s="1" t="s">
        <v>1</v>
      </c>
      <c r="D38" s="1" t="s">
        <v>2</v>
      </c>
      <c r="E38" s="1" t="s">
        <v>3</v>
      </c>
      <c r="F38" s="3" t="s">
        <v>65</v>
      </c>
    </row>
    <row r="39" spans="1:5" ht="15">
      <c r="A39" s="2" t="s">
        <v>4</v>
      </c>
      <c r="B39" s="9">
        <f>B3</f>
        <v>2.8001428534987283</v>
      </c>
      <c r="C39" s="9">
        <v>200</v>
      </c>
      <c r="D39" s="9">
        <f>B39/C39</f>
        <v>0.014000714267493641</v>
      </c>
      <c r="E39" s="9">
        <f>C39/B39</f>
        <v>71.42492739258056</v>
      </c>
    </row>
    <row r="40" spans="2:8" ht="15">
      <c r="B40" s="9">
        <f>D39*2*C40*TAN(RADIANS(F40/2))</f>
        <v>1.0191686503667645</v>
      </c>
      <c r="C40" s="38">
        <v>100</v>
      </c>
      <c r="F40" s="38">
        <v>40</v>
      </c>
      <c r="H40" s="22"/>
    </row>
    <row r="41" spans="1:6" ht="15">
      <c r="A41" s="23"/>
      <c r="B41" s="40">
        <v>1.0296</v>
      </c>
      <c r="C41" s="38">
        <v>100</v>
      </c>
      <c r="F41" s="47">
        <f>DEGREES(2*ATAN(B41*E$39/(2*C41)))</f>
        <v>40.37649858532197</v>
      </c>
    </row>
    <row r="42" spans="1:6" ht="15">
      <c r="A42" s="2" t="s">
        <v>38</v>
      </c>
      <c r="B42" s="40">
        <f>7.7135-7.3758</f>
        <v>0.3376999999999999</v>
      </c>
      <c r="C42" s="38">
        <v>100</v>
      </c>
      <c r="F42" s="47">
        <f>DEGREES(2*ATAN(B42*E$39/(2*C42)))</f>
        <v>13.753432734139752</v>
      </c>
    </row>
    <row r="43" spans="1:6" ht="15">
      <c r="A43" s="2" t="s">
        <v>39</v>
      </c>
      <c r="B43" s="40">
        <f>7.1141-6.9516</f>
        <v>0.16249999999999964</v>
      </c>
      <c r="C43" s="38">
        <v>50</v>
      </c>
      <c r="F43" s="47">
        <f>DEGREES(2*ATAN(B43*E$39/(2*C43)))</f>
        <v>13.240882623988595</v>
      </c>
    </row>
    <row r="44" spans="1:6" ht="15">
      <c r="A44" s="10" t="s">
        <v>66</v>
      </c>
      <c r="B44" s="42"/>
      <c r="C44" s="38">
        <v>6.6</v>
      </c>
      <c r="F44" s="8"/>
    </row>
    <row r="45" spans="1:6" ht="15">
      <c r="A45" s="10" t="s">
        <v>40</v>
      </c>
      <c r="B45" s="42"/>
      <c r="C45" s="38">
        <v>100</v>
      </c>
      <c r="F45" s="47">
        <f>2*DEGREES(ATAN(C$44/(2*C45)))</f>
        <v>3.7801496517979154</v>
      </c>
    </row>
    <row r="46" spans="1:6" ht="15">
      <c r="A46" s="10" t="s">
        <v>40</v>
      </c>
      <c r="B46" s="42"/>
      <c r="C46" s="38">
        <v>50</v>
      </c>
      <c r="F46" s="47">
        <f>2*DEGREES(ATAN(C$44/(2*C46)))</f>
        <v>7.552089969790019</v>
      </c>
    </row>
    <row r="47" spans="1:6" ht="15">
      <c r="A47" s="2"/>
      <c r="B47" s="42"/>
      <c r="C47" s="12"/>
      <c r="F47" s="8"/>
    </row>
    <row r="48" spans="1:6" ht="15">
      <c r="A48" s="10" t="s">
        <v>68</v>
      </c>
      <c r="B48" s="42"/>
      <c r="C48" s="12"/>
      <c r="F48" s="8"/>
    </row>
    <row r="49" spans="1:6" ht="15">
      <c r="A49" s="2" t="s">
        <v>41</v>
      </c>
      <c r="B49" s="44"/>
      <c r="C49" s="43"/>
      <c r="D49" s="45"/>
      <c r="F49" s="49">
        <v>13</v>
      </c>
    </row>
    <row r="50" spans="1:6" ht="15">
      <c r="A50" s="2" t="s">
        <v>42</v>
      </c>
      <c r="B50" s="42"/>
      <c r="C50" s="8">
        <f>C44/(2*TAN(RADIANS(F45+F49)/2))</f>
        <v>22.3743750766446</v>
      </c>
      <c r="F50" s="8"/>
    </row>
    <row r="51" spans="1:3" ht="15">
      <c r="A51" s="10" t="s">
        <v>43</v>
      </c>
      <c r="B51" s="9"/>
      <c r="C51" s="8">
        <f>2*(C43-C50)*TAN(RADIANS(F45+F49)/2)</f>
        <v>8.14901528510037</v>
      </c>
    </row>
    <row r="52" spans="1:6" ht="15">
      <c r="A52" s="10" t="s">
        <v>49</v>
      </c>
      <c r="B52" s="9"/>
      <c r="F52" s="8">
        <f>2*DEGREES(ATAN(C51/(2*C43)))</f>
        <v>9.317495330744816</v>
      </c>
    </row>
    <row r="53" spans="1:2" ht="15">
      <c r="A53" s="10"/>
      <c r="B53" s="9"/>
    </row>
    <row r="54" spans="1:6" ht="15">
      <c r="A54" s="2" t="s">
        <v>35</v>
      </c>
      <c r="B54" s="40">
        <v>1.3655</v>
      </c>
      <c r="C54" s="38">
        <v>50</v>
      </c>
      <c r="D54" s="9">
        <f>B54/(2*C54*TAN(RADIANS(F54/2)))</f>
        <v>0.037516804162652864</v>
      </c>
      <c r="E54" s="9">
        <f>1/D54</f>
        <v>26.654722392252097</v>
      </c>
      <c r="F54" s="38">
        <v>40</v>
      </c>
    </row>
    <row r="55" spans="1:6" ht="15">
      <c r="A55" s="10" t="s">
        <v>44</v>
      </c>
      <c r="B55" s="40">
        <f>11.6253-11.0964</f>
        <v>0.5289000000000001</v>
      </c>
      <c r="C55" s="8">
        <f>B55*E54</f>
        <v>14.097682673262138</v>
      </c>
      <c r="F55" s="47">
        <f>2*DEGREES(ATAN(C55/(2*C43)))</f>
        <v>16.048990357427236</v>
      </c>
    </row>
    <row r="56" ht="15">
      <c r="A56" s="10"/>
    </row>
    <row r="57" ht="15">
      <c r="A57" s="10"/>
    </row>
    <row r="58" ht="15">
      <c r="A58" s="10"/>
    </row>
    <row r="59" ht="15">
      <c r="A59" s="10"/>
    </row>
    <row r="60" ht="15">
      <c r="A60" s="10"/>
    </row>
    <row r="61" ht="15">
      <c r="A61" s="10"/>
    </row>
  </sheetData>
  <sheetProtection/>
  <mergeCells count="5">
    <mergeCell ref="A6:F6"/>
    <mergeCell ref="A33:G35"/>
    <mergeCell ref="D37:E37"/>
    <mergeCell ref="D1:E1"/>
    <mergeCell ref="D8:E8"/>
  </mergeCells>
  <printOptions/>
  <pageMargins left="0.7" right="0.7" top="0.75" bottom="0.75" header="0.3" footer="0.3"/>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G12"/>
  <sheetViews>
    <sheetView zoomScalePageLayoutView="0" workbookViewId="0" topLeftCell="A1">
      <selection activeCell="D8" sqref="D8"/>
    </sheetView>
  </sheetViews>
  <sheetFormatPr defaultColWidth="9.140625" defaultRowHeight="15"/>
  <cols>
    <col min="1" max="1" width="63.8515625" style="0" customWidth="1"/>
  </cols>
  <sheetData>
    <row r="1" spans="1:7" ht="66" customHeight="1" thickBot="1">
      <c r="A1" s="76" t="s">
        <v>53</v>
      </c>
      <c r="B1" s="77"/>
      <c r="C1" s="77"/>
      <c r="D1" s="78"/>
      <c r="E1" s="28"/>
      <c r="F1" s="28"/>
      <c r="G1" s="28"/>
    </row>
    <row r="2" spans="1:7" ht="15">
      <c r="A2" s="28"/>
      <c r="B2" s="28"/>
      <c r="C2" s="28"/>
      <c r="D2" s="28"/>
      <c r="E2" s="28"/>
      <c r="F2" s="28"/>
      <c r="G2" s="28"/>
    </row>
    <row r="3" spans="1:7" ht="15">
      <c r="A3" s="28"/>
      <c r="B3" s="28"/>
      <c r="C3" s="28"/>
      <c r="D3" s="28"/>
      <c r="E3" s="28"/>
      <c r="F3" s="28"/>
      <c r="G3" s="28"/>
    </row>
    <row r="5" spans="1:5" ht="18.75">
      <c r="A5" s="14" t="s">
        <v>37</v>
      </c>
      <c r="B5" s="6"/>
      <c r="C5" s="4"/>
      <c r="D5" s="4"/>
      <c r="E5" s="4"/>
    </row>
    <row r="6" spans="2:5" ht="15">
      <c r="B6" s="6"/>
      <c r="C6" s="4"/>
      <c r="D6" s="4"/>
      <c r="E6" s="4"/>
    </row>
    <row r="7" spans="1:5" ht="15">
      <c r="A7" s="13" t="s">
        <v>45</v>
      </c>
      <c r="B7" s="6"/>
      <c r="C7" s="38">
        <v>6.6</v>
      </c>
      <c r="D7" s="38">
        <v>6.6</v>
      </c>
      <c r="E7" s="4"/>
    </row>
    <row r="8" spans="1:5" ht="15">
      <c r="A8" s="13" t="s">
        <v>46</v>
      </c>
      <c r="B8" s="6"/>
      <c r="C8" s="51">
        <v>13</v>
      </c>
      <c r="D8" s="51">
        <v>12.55</v>
      </c>
      <c r="E8" s="4"/>
    </row>
    <row r="9" spans="1:5" ht="15">
      <c r="A9" s="13" t="s">
        <v>48</v>
      </c>
      <c r="B9" s="6"/>
      <c r="C9" s="8">
        <f>C7/(2*TAN(RADIANS(C8/2)))</f>
        <v>28.963728277670857</v>
      </c>
      <c r="D9" s="8">
        <f>D7/(2*TAN(RADIANS(D8/2)))</f>
        <v>30.011077208181675</v>
      </c>
      <c r="E9" s="4"/>
    </row>
    <row r="10" spans="1:5" ht="15">
      <c r="A10" s="13" t="s">
        <v>47</v>
      </c>
      <c r="B10" s="6"/>
      <c r="C10" s="8">
        <f>2*DEGREES(ATAN(C7/(2*C9)))</f>
        <v>13</v>
      </c>
      <c r="D10" s="8">
        <f>2*DEGREES(ATAN(D7/(2*D9)))</f>
        <v>12.55</v>
      </c>
      <c r="E10" s="4"/>
    </row>
    <row r="11" spans="1:5" ht="15">
      <c r="A11" s="13"/>
      <c r="B11" s="6"/>
      <c r="C11" s="4"/>
      <c r="D11" s="4"/>
      <c r="E11" s="4"/>
    </row>
    <row r="12" spans="2:5" ht="15">
      <c r="B12" s="6"/>
      <c r="C12" s="4"/>
      <c r="D12" s="4"/>
      <c r="E12" s="4"/>
    </row>
  </sheetData>
  <sheetProtection/>
  <mergeCells count="1">
    <mergeCell ref="A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c:creator>
  <cp:keywords/>
  <dc:description/>
  <cp:lastModifiedBy>Doris</cp:lastModifiedBy>
  <cp:lastPrinted>2012-05-09T15:44:36Z</cp:lastPrinted>
  <dcterms:created xsi:type="dcterms:W3CDTF">2012-03-10T01:55:00Z</dcterms:created>
  <dcterms:modified xsi:type="dcterms:W3CDTF">2012-07-23T18:23:52Z</dcterms:modified>
  <cp:category/>
  <cp:version/>
  <cp:contentType/>
  <cp:contentStatus/>
</cp:coreProperties>
</file>